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35" yWindow="165" windowWidth="18195" windowHeight="22065" tabRatio="500" activeTab="0"/>
  </bookViews>
  <sheets>
    <sheet name="Assumptions" sheetId="1" r:id="rId1"/>
    <sheet name="Feasibility Analysis" sheetId="2" r:id="rId2"/>
  </sheets>
  <definedNames>
    <definedName name="annualexpenses">'Feasibility Analysis'!#REF!</definedName>
    <definedName name="debtservice">'Feasibility Analysis'!#REF!</definedName>
    <definedName name="_xlnm.Print_Area" localSheetId="0">'Assumptions'!$A$1:$G$38</definedName>
    <definedName name="_xlnm.Print_Area" localSheetId="1">'Feasibility Analysis'!$A$1:$H$47</definedName>
    <definedName name="units">'Feasibility Analysis'!$E$15</definedName>
  </definedNames>
  <calcPr fullCalcOnLoad="1"/>
</workbook>
</file>

<file path=xl/sharedStrings.xml><?xml version="1.0" encoding="utf-8"?>
<sst xmlns="http://schemas.openxmlformats.org/spreadsheetml/2006/main" count="93" uniqueCount="77">
  <si>
    <t>Development Sources</t>
  </si>
  <si>
    <t>Total Uses</t>
  </si>
  <si>
    <t>Total Sources</t>
  </si>
  <si>
    <t>Sources over/(under) uses</t>
  </si>
  <si>
    <t xml:space="preserve"> </t>
  </si>
  <si>
    <t>Total</t>
  </si>
  <si>
    <t>Unit Mix:</t>
  </si>
  <si>
    <t xml:space="preserve"> </t>
  </si>
  <si>
    <t>Model 1</t>
  </si>
  <si>
    <t>Model 3</t>
  </si>
  <si>
    <t>Model 4</t>
  </si>
  <si>
    <t>Model 5</t>
  </si>
  <si>
    <t>Model 2</t>
  </si>
  <si>
    <t>Sale Prices</t>
  </si>
  <si>
    <t>Bedrooms</t>
  </si>
  <si>
    <t xml:space="preserve">Market </t>
  </si>
  <si>
    <t>Affordable</t>
  </si>
  <si>
    <t>Homeownership</t>
  </si>
  <si>
    <t>Sale proceeds:  Affordable units</t>
  </si>
  <si>
    <t>Sale proceeds:  Market units</t>
  </si>
  <si>
    <t xml:space="preserve">Affordable </t>
  </si>
  <si>
    <t>Market</t>
  </si>
  <si>
    <t>Sales:</t>
  </si>
  <si>
    <t>Sales period:</t>
  </si>
  <si>
    <t>months</t>
  </si>
  <si>
    <t>Construction financing:</t>
  </si>
  <si>
    <t>Interest rate</t>
  </si>
  <si>
    <t>Affordability restrictions/levels:</t>
  </si>
  <si>
    <t>HOME/HSF for Boston MSA</t>
  </si>
  <si>
    <t>Sale proceeds</t>
  </si>
  <si>
    <t xml:space="preserve"> </t>
  </si>
  <si>
    <t>TOTALS:</t>
  </si>
  <si>
    <t>Carrying period interest</t>
  </si>
  <si>
    <t>non-acq dev costs</t>
  </si>
  <si>
    <t>Dev fee</t>
  </si>
  <si>
    <t>avg price/unit</t>
  </si>
  <si>
    <t>avg market price</t>
  </si>
  <si>
    <t>avg affordable price</t>
  </si>
  <si>
    <t>Template prepared by VIVA Consulting</t>
  </si>
  <si>
    <t>City funds (HOME, CDBG)</t>
  </si>
  <si>
    <t>State HOME/HSF</t>
  </si>
  <si>
    <t>MA Affordable Housing Trust</t>
  </si>
  <si>
    <t>Other:</t>
  </si>
  <si>
    <t>Other:</t>
  </si>
  <si>
    <t>Other:</t>
  </si>
  <si>
    <t>FHLB</t>
  </si>
  <si>
    <t xml:space="preserve"> </t>
  </si>
  <si>
    <t>Template prepared by VIVA Consulting</t>
  </si>
  <si>
    <t>Cost per square foot</t>
  </si>
  <si>
    <t>Instructions:  Fill in the white boxes</t>
  </si>
  <si>
    <t>Rehab costs per unit</t>
  </si>
  <si>
    <t>Acquisition cost:</t>
  </si>
  <si>
    <t>Construction cost:</t>
  </si>
  <si>
    <t>New con</t>
  </si>
  <si>
    <t>Rehab</t>
  </si>
  <si>
    <t>OR</t>
  </si>
  <si>
    <t>Development name:</t>
  </si>
  <si>
    <t>Totals:</t>
  </si>
  <si>
    <t>Soft costs</t>
  </si>
  <si>
    <t>Feasibility Model</t>
  </si>
  <si>
    <t>per unit cost</t>
  </si>
  <si>
    <t>Acquisition</t>
  </si>
  <si>
    <t xml:space="preserve"> </t>
  </si>
  <si>
    <t xml:space="preserve">  </t>
  </si>
  <si>
    <t>Construction hard costs</t>
  </si>
  <si>
    <t>Overhead and Fee</t>
  </si>
  <si>
    <t>Development Uses</t>
  </si>
  <si>
    <t xml:space="preserve"> </t>
  </si>
  <si>
    <t xml:space="preserve"> </t>
  </si>
  <si>
    <t xml:space="preserve"> </t>
  </si>
  <si>
    <t>Square feet of construction</t>
  </si>
  <si>
    <t>DHCD maximum</t>
  </si>
  <si>
    <t>Calculate costs by sq ft x costs per sq ft:</t>
  </si>
  <si>
    <t>Calculate costs by rehab per unit:</t>
  </si>
  <si>
    <t>Size of site (sq ft)</t>
  </si>
  <si>
    <t>Sitework costs per square foot</t>
  </si>
  <si>
    <t>Design + construction contingency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</si>
</sst>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b/>
      <sz val="12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5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165" fontId="2" fillId="33" borderId="0" xfId="42" applyNumberFormat="1" applyFont="1" applyFill="1" applyAlignment="1">
      <alignment/>
    </xf>
    <xf numFmtId="165" fontId="0" fillId="34" borderId="10" xfId="42" applyNumberFormat="1" applyFont="1" applyFill="1" applyBorder="1" applyAlignment="1" applyProtection="1">
      <alignment/>
      <protection locked="0"/>
    </xf>
    <xf numFmtId="165" fontId="0" fillId="34" borderId="10" xfId="42" applyNumberFormat="1" applyFont="1" applyFill="1" applyBorder="1" applyAlignment="1" applyProtection="1">
      <alignment horizontal="center"/>
      <protection locked="0"/>
    </xf>
    <xf numFmtId="165" fontId="0" fillId="34" borderId="10" xfId="42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165" fontId="0" fillId="34" borderId="11" xfId="42" applyNumberFormat="1" applyFont="1" applyFill="1" applyBorder="1" applyAlignment="1" applyProtection="1">
      <alignment/>
      <protection locked="0"/>
    </xf>
    <xf numFmtId="165" fontId="0" fillId="34" borderId="12" xfId="42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8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65" fontId="0" fillId="35" borderId="0" xfId="0" applyNumberFormat="1" applyFill="1" applyAlignment="1">
      <alignment/>
    </xf>
    <xf numFmtId="0" fontId="0" fillId="35" borderId="0" xfId="0" applyFill="1" applyBorder="1" applyAlignment="1">
      <alignment/>
    </xf>
    <xf numFmtId="165" fontId="0" fillId="35" borderId="0" xfId="42" applyNumberFormat="1" applyFont="1" applyFill="1" applyAlignment="1">
      <alignment/>
    </xf>
    <xf numFmtId="165" fontId="0" fillId="33" borderId="0" xfId="42" applyNumberFormat="1" applyFont="1" applyFill="1" applyBorder="1" applyAlignment="1" applyProtection="1">
      <alignment/>
      <protection locked="0"/>
    </xf>
    <xf numFmtId="165" fontId="0" fillId="33" borderId="0" xfId="42" applyNumberFormat="1" applyFont="1" applyFill="1" applyBorder="1" applyAlignment="1" applyProtection="1">
      <alignment horizontal="center"/>
      <protection locked="0"/>
    </xf>
    <xf numFmtId="165" fontId="1" fillId="35" borderId="13" xfId="42" applyNumberFormat="1" applyFont="1" applyFill="1" applyBorder="1" applyAlignment="1">
      <alignment/>
    </xf>
    <xf numFmtId="165" fontId="0" fillId="35" borderId="0" xfId="42" applyNumberFormat="1" applyFont="1" applyFill="1" applyAlignment="1" applyProtection="1">
      <alignment/>
      <protection locked="0"/>
    </xf>
    <xf numFmtId="9" fontId="0" fillId="35" borderId="0" xfId="59" applyFont="1" applyFill="1" applyAlignment="1">
      <alignment/>
    </xf>
    <xf numFmtId="166" fontId="0" fillId="35" borderId="0" xfId="59" applyNumberFormat="1" applyFont="1" applyFill="1" applyAlignment="1">
      <alignment/>
    </xf>
    <xf numFmtId="165" fontId="0" fillId="35" borderId="0" xfId="0" applyNumberFormat="1" applyFill="1" applyAlignment="1" applyProtection="1">
      <alignment/>
      <protection locked="0"/>
    </xf>
    <xf numFmtId="165" fontId="1" fillId="35" borderId="0" xfId="42" applyNumberFormat="1" applyFont="1" applyFill="1" applyAlignment="1">
      <alignment/>
    </xf>
    <xf numFmtId="0" fontId="0" fillId="35" borderId="0" xfId="0" applyFill="1" applyAlignment="1" applyProtection="1">
      <alignment horizontal="right"/>
      <protection locked="0"/>
    </xf>
    <xf numFmtId="165" fontId="1" fillId="35" borderId="13" xfId="0" applyNumberFormat="1" applyFont="1" applyFill="1" applyBorder="1" applyAlignment="1">
      <alignment/>
    </xf>
    <xf numFmtId="9" fontId="0" fillId="35" borderId="0" xfId="59" applyFont="1" applyFill="1" applyAlignment="1" applyProtection="1">
      <alignment/>
      <protection locked="0"/>
    </xf>
    <xf numFmtId="165" fontId="0" fillId="34" borderId="10" xfId="0" applyNumberFormat="1" applyFill="1" applyBorder="1" applyAlignment="1" applyProtection="1">
      <alignment/>
      <protection locked="0"/>
    </xf>
    <xf numFmtId="0" fontId="2" fillId="35" borderId="0" xfId="0" applyFont="1" applyFill="1" applyAlignment="1">
      <alignment horizontal="right"/>
    </xf>
    <xf numFmtId="165" fontId="1" fillId="33" borderId="0" xfId="42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right"/>
      <protection locked="0"/>
    </xf>
    <xf numFmtId="165" fontId="0" fillId="35" borderId="13" xfId="0" applyNumberForma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165" fontId="0" fillId="33" borderId="0" xfId="42" applyNumberFormat="1" applyFont="1" applyFill="1" applyAlignment="1" applyProtection="1">
      <alignment/>
      <protection locked="0"/>
    </xf>
    <xf numFmtId="10" fontId="0" fillId="34" borderId="10" xfId="59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6" borderId="14" xfId="0" applyFill="1" applyBorder="1" applyAlignment="1">
      <alignment horizontal="right"/>
    </xf>
    <xf numFmtId="0" fontId="2" fillId="36" borderId="15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165" fontId="0" fillId="36" borderId="18" xfId="42" applyNumberFormat="1" applyFont="1" applyFill="1" applyBorder="1" applyAlignment="1">
      <alignment/>
    </xf>
    <xf numFmtId="9" fontId="0" fillId="36" borderId="18" xfId="59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 horizontal="right"/>
    </xf>
    <xf numFmtId="165" fontId="0" fillId="34" borderId="10" xfId="42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horizontal="right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800100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2438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0</xdr:rowOff>
    </xdr:from>
    <xdr:to>
      <xdr:col>6</xdr:col>
      <xdr:colOff>809625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2438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H9" sqref="H9"/>
    </sheetView>
  </sheetViews>
  <sheetFormatPr defaultColWidth="10.75390625" defaultRowHeight="12.75"/>
  <cols>
    <col min="1" max="1" width="27.125" style="3" customWidth="1"/>
    <col min="2" max="2" width="10.75390625" style="2" customWidth="1"/>
    <col min="3" max="14" width="10.75390625" style="3" customWidth="1"/>
    <col min="15" max="18" width="10.75390625" style="10" customWidth="1"/>
    <col min="19" max="16384" width="10.75390625" style="3" customWidth="1"/>
  </cols>
  <sheetData>
    <row r="1" ht="12.75">
      <c r="A1" s="1" t="s">
        <v>17</v>
      </c>
    </row>
    <row r="2" ht="12.75">
      <c r="A2" s="1" t="s">
        <v>59</v>
      </c>
    </row>
    <row r="3" ht="12.75"/>
    <row r="4" spans="1:2" ht="12.75">
      <c r="A4" s="5" t="s">
        <v>49</v>
      </c>
      <c r="B4" s="6"/>
    </row>
    <row r="6" spans="1:2" ht="12.75">
      <c r="A6" s="1" t="s">
        <v>51</v>
      </c>
      <c r="B6" s="7">
        <v>800000</v>
      </c>
    </row>
    <row r="8" spans="1:3" ht="12.75">
      <c r="A8" s="1" t="s">
        <v>52</v>
      </c>
      <c r="B8" s="3"/>
      <c r="C8" s="3" t="s">
        <v>68</v>
      </c>
    </row>
    <row r="9" spans="1:6" ht="21.75" customHeight="1">
      <c r="A9" s="44" t="s">
        <v>72</v>
      </c>
      <c r="B9" s="47"/>
      <c r="D9" s="44" t="s">
        <v>73</v>
      </c>
      <c r="E9" s="50"/>
      <c r="F9" s="47"/>
    </row>
    <row r="10" spans="1:6" ht="12.75">
      <c r="A10" s="45"/>
      <c r="B10" s="48"/>
      <c r="D10" s="45"/>
      <c r="E10" s="51"/>
      <c r="F10" s="52"/>
    </row>
    <row r="11" spans="1:6" ht="12.75">
      <c r="A11" s="45"/>
      <c r="B11" s="48"/>
      <c r="C11" s="36" t="s">
        <v>55</v>
      </c>
      <c r="D11" s="45"/>
      <c r="E11" s="51"/>
      <c r="F11" s="52"/>
    </row>
    <row r="12" spans="1:6" ht="12.75">
      <c r="A12" s="45"/>
      <c r="B12" s="49"/>
      <c r="C12" s="42"/>
      <c r="D12" s="53"/>
      <c r="E12" s="51"/>
      <c r="F12" s="52"/>
    </row>
    <row r="13" spans="1:17" ht="12.75">
      <c r="A13" s="45" t="s">
        <v>70</v>
      </c>
      <c r="B13" s="7">
        <v>41000</v>
      </c>
      <c r="D13" s="43"/>
      <c r="E13" s="56" t="s">
        <v>50</v>
      </c>
      <c r="F13" s="7">
        <v>65000</v>
      </c>
      <c r="O13" s="10" t="s">
        <v>53</v>
      </c>
      <c r="P13" s="10" t="b">
        <v>1</v>
      </c>
      <c r="Q13" s="10">
        <f>IF(P13=TRUE,1,0)</f>
        <v>1</v>
      </c>
    </row>
    <row r="14" spans="1:17" ht="12.75">
      <c r="A14" s="45" t="s">
        <v>48</v>
      </c>
      <c r="B14" s="7">
        <v>200</v>
      </c>
      <c r="C14" s="4"/>
      <c r="D14" s="45"/>
      <c r="E14" s="51"/>
      <c r="F14" s="52"/>
      <c r="O14" s="10" t="s">
        <v>54</v>
      </c>
      <c r="P14" s="10" t="b">
        <v>0</v>
      </c>
      <c r="Q14" s="10">
        <f>IF(P14=TRUE,1,0)</f>
        <v>0</v>
      </c>
    </row>
    <row r="15" spans="1:6" ht="12.75">
      <c r="A15" s="45" t="s">
        <v>74</v>
      </c>
      <c r="B15" s="7">
        <v>20000</v>
      </c>
      <c r="C15" s="4"/>
      <c r="D15" s="45"/>
      <c r="E15" s="51"/>
      <c r="F15" s="52"/>
    </row>
    <row r="16" spans="1:6" ht="12.75">
      <c r="A16" s="46" t="s">
        <v>75</v>
      </c>
      <c r="B16" s="7">
        <v>15</v>
      </c>
      <c r="C16" s="4"/>
      <c r="D16" s="46"/>
      <c r="E16" s="54"/>
      <c r="F16" s="55"/>
    </row>
    <row r="18" spans="1:3" ht="12.75">
      <c r="A18" s="1" t="s">
        <v>22</v>
      </c>
      <c r="C18" s="3" t="s">
        <v>7</v>
      </c>
    </row>
    <row r="20" ht="12.75">
      <c r="A20" s="1" t="s">
        <v>13</v>
      </c>
    </row>
    <row r="21" spans="2:4" ht="12.75">
      <c r="B21" s="35" t="s">
        <v>14</v>
      </c>
      <c r="C21" s="36" t="s">
        <v>16</v>
      </c>
      <c r="D21" s="36" t="s">
        <v>15</v>
      </c>
    </row>
    <row r="22" spans="1:4" ht="12.75">
      <c r="A22" s="3" t="s">
        <v>8</v>
      </c>
      <c r="B22" s="8">
        <v>1</v>
      </c>
      <c r="C22" s="9">
        <v>149000</v>
      </c>
      <c r="D22" s="8">
        <v>250000</v>
      </c>
    </row>
    <row r="23" spans="1:4" ht="12.75">
      <c r="A23" s="3" t="s">
        <v>12</v>
      </c>
      <c r="B23" s="7">
        <v>2</v>
      </c>
      <c r="C23" s="7">
        <v>178900</v>
      </c>
      <c r="D23" s="7">
        <v>290000</v>
      </c>
    </row>
    <row r="24" spans="1:4" ht="12.75">
      <c r="A24" s="3" t="s">
        <v>9</v>
      </c>
      <c r="B24" s="7">
        <v>2</v>
      </c>
      <c r="C24" s="7">
        <v>178900</v>
      </c>
      <c r="D24" s="7">
        <v>305000</v>
      </c>
    </row>
    <row r="25" spans="1:4" ht="12.75">
      <c r="A25" s="3" t="s">
        <v>10</v>
      </c>
      <c r="B25" s="7">
        <v>3</v>
      </c>
      <c r="C25" s="7">
        <v>206700</v>
      </c>
      <c r="D25" s="7">
        <v>375000</v>
      </c>
    </row>
    <row r="26" spans="1:4" ht="12.75">
      <c r="A26" s="3" t="s">
        <v>11</v>
      </c>
      <c r="B26" s="7">
        <v>3</v>
      </c>
      <c r="C26" s="7">
        <v>206700</v>
      </c>
      <c r="D26" s="8">
        <v>375000</v>
      </c>
    </row>
    <row r="27" spans="2:4" ht="12.75">
      <c r="B27" s="22"/>
      <c r="C27" s="22"/>
      <c r="D27" s="23"/>
    </row>
    <row r="28" spans="1:4" ht="12.75">
      <c r="A28" s="3" t="s">
        <v>27</v>
      </c>
      <c r="B28" s="57" t="s">
        <v>28</v>
      </c>
      <c r="C28" s="57"/>
      <c r="D28" s="57"/>
    </row>
    <row r="29" spans="2:4" ht="12.75">
      <c r="B29" s="40"/>
      <c r="C29" s="10"/>
      <c r="D29" s="10"/>
    </row>
    <row r="30" spans="1:4" ht="12.75">
      <c r="A30" s="3" t="s">
        <v>23</v>
      </c>
      <c r="B30" s="7">
        <v>6</v>
      </c>
      <c r="C30" s="10" t="s">
        <v>24</v>
      </c>
      <c r="D30" s="10"/>
    </row>
    <row r="31" spans="2:4" ht="12.75">
      <c r="B31" s="40"/>
      <c r="C31" s="10"/>
      <c r="D31" s="10"/>
    </row>
    <row r="32" spans="1:4" ht="12.75">
      <c r="A32" s="3" t="s">
        <v>25</v>
      </c>
      <c r="B32" s="41">
        <v>0.07</v>
      </c>
      <c r="C32" s="10" t="s">
        <v>26</v>
      </c>
      <c r="D32" s="10"/>
    </row>
    <row r="33" spans="2:4" ht="12.75">
      <c r="B33" s="40"/>
      <c r="C33" s="10"/>
      <c r="D33" s="10"/>
    </row>
    <row r="34" spans="1:2" ht="12.75">
      <c r="A34" s="3" t="s">
        <v>7</v>
      </c>
      <c r="B34" s="3"/>
    </row>
    <row r="35" spans="2:6" ht="12.75">
      <c r="B35" s="3"/>
      <c r="C35" s="58" t="s">
        <v>47</v>
      </c>
      <c r="D35" s="58"/>
      <c r="E35" s="58"/>
      <c r="F35" s="39"/>
    </row>
    <row r="36" ht="12.75">
      <c r="B36" s="3"/>
    </row>
    <row r="37" ht="12.75">
      <c r="B37" s="3"/>
    </row>
  </sheetData>
  <sheetProtection/>
  <mergeCells count="2">
    <mergeCell ref="B28:D28"/>
    <mergeCell ref="C35:E35"/>
  </mergeCells>
  <conditionalFormatting sqref="A10:B16">
    <cfRule type="expression" priority="1" dxfId="1" stopIfTrue="1">
      <formula>"$Q$14=1"</formula>
    </cfRule>
  </conditionalFormatting>
  <printOptions/>
  <pageMargins left="0.75" right="0.75" top="1" bottom="1" header="0.5" footer="0.5"/>
  <pageSetup fitToHeight="1" fitToWidth="1" orientation="portrait" paperSize="9" scale="78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H15" sqref="H15"/>
    </sheetView>
  </sheetViews>
  <sheetFormatPr defaultColWidth="10.75390625" defaultRowHeight="12.75"/>
  <cols>
    <col min="1" max="1" width="16.25390625" style="14" customWidth="1"/>
    <col min="2" max="2" width="13.00390625" style="14" customWidth="1"/>
    <col min="3" max="3" width="10.75390625" style="14" customWidth="1"/>
    <col min="4" max="4" width="12.125" style="14" bestFit="1" customWidth="1"/>
    <col min="5" max="5" width="12.625" style="14" customWidth="1"/>
    <col min="6" max="9" width="10.75390625" style="14" customWidth="1"/>
    <col min="10" max="10" width="62.375" style="14" customWidth="1"/>
    <col min="11" max="12" width="10.75390625" style="14" customWidth="1"/>
    <col min="13" max="13" width="10.75390625" style="15" customWidth="1"/>
    <col min="14" max="14" width="15.625" style="15" customWidth="1"/>
    <col min="15" max="16" width="13.125" style="15" bestFit="1" customWidth="1"/>
    <col min="17" max="17" width="11.625" style="15" bestFit="1" customWidth="1"/>
    <col min="18" max="19" width="10.75390625" style="15" customWidth="1"/>
    <col min="20" max="16384" width="10.75390625" style="14" customWidth="1"/>
  </cols>
  <sheetData>
    <row r="1" ht="12.75">
      <c r="A1" s="13" t="str">
        <f>Assumptions!A1</f>
        <v>Homeownership</v>
      </c>
    </row>
    <row r="2" ht="12.75">
      <c r="A2" s="13" t="str">
        <f>Assumptions!A2</f>
        <v>Feasibility Model</v>
      </c>
    </row>
    <row r="3" ht="12.75"/>
    <row r="4" spans="1:6" ht="12.75">
      <c r="A4" s="13" t="s">
        <v>56</v>
      </c>
      <c r="C4" s="62" t="s">
        <v>7</v>
      </c>
      <c r="D4" s="63"/>
      <c r="E4" s="63"/>
      <c r="F4" s="64"/>
    </row>
    <row r="6" ht="15">
      <c r="A6" s="16" t="s">
        <v>13</v>
      </c>
    </row>
    <row r="8" spans="1:19" ht="12.75">
      <c r="A8" s="14" t="s">
        <v>6</v>
      </c>
      <c r="K8" s="15"/>
      <c r="L8" s="15"/>
      <c r="R8" s="14"/>
      <c r="S8" s="14"/>
    </row>
    <row r="9" spans="1:19" ht="12.75">
      <c r="A9" s="14" t="s">
        <v>4</v>
      </c>
      <c r="C9" s="17" t="s">
        <v>20</v>
      </c>
      <c r="D9" s="17" t="s">
        <v>21</v>
      </c>
      <c r="E9" s="18" t="s">
        <v>5</v>
      </c>
      <c r="K9" s="15"/>
      <c r="L9" s="15"/>
      <c r="R9" s="14"/>
      <c r="S9" s="14"/>
    </row>
    <row r="10" spans="1:19" ht="12.75">
      <c r="A10" s="14" t="str">
        <f>Assumptions!A22</f>
        <v>Model 1</v>
      </c>
      <c r="C10" s="7">
        <v>0</v>
      </c>
      <c r="D10" s="8"/>
      <c r="E10" s="19">
        <f>SUM(B10:D10)</f>
        <v>0</v>
      </c>
      <c r="K10" s="15"/>
      <c r="L10" s="15"/>
      <c r="R10" s="14"/>
      <c r="S10" s="14"/>
    </row>
    <row r="11" spans="1:19" ht="12.75">
      <c r="A11" s="14" t="str">
        <f>Assumptions!A23</f>
        <v>Model 2</v>
      </c>
      <c r="C11" s="7">
        <v>2</v>
      </c>
      <c r="D11" s="11">
        <v>5</v>
      </c>
      <c r="E11" s="19">
        <f>SUM(B11:D11)</f>
        <v>7</v>
      </c>
      <c r="K11" s="15"/>
      <c r="L11" s="15"/>
      <c r="M11" s="14"/>
      <c r="N11" s="14"/>
      <c r="O11" s="14"/>
      <c r="P11" s="14"/>
      <c r="R11" s="14"/>
      <c r="S11" s="14"/>
    </row>
    <row r="12" spans="1:19" ht="12.75">
      <c r="A12" s="14" t="str">
        <f>Assumptions!A24</f>
        <v>Model 3</v>
      </c>
      <c r="C12" s="7">
        <v>10</v>
      </c>
      <c r="D12" s="7">
        <v>5</v>
      </c>
      <c r="E12" s="19">
        <f>SUM(B12:D12)</f>
        <v>15</v>
      </c>
      <c r="K12" s="15"/>
      <c r="L12" s="15"/>
      <c r="M12" s="14"/>
      <c r="N12" s="14"/>
      <c r="O12" s="14"/>
      <c r="P12" s="14"/>
      <c r="R12" s="14"/>
      <c r="S12" s="14"/>
    </row>
    <row r="13" spans="1:19" ht="12.75">
      <c r="A13" s="14" t="str">
        <f>Assumptions!A25</f>
        <v>Model 4</v>
      </c>
      <c r="C13" s="7">
        <v>10</v>
      </c>
      <c r="D13" s="12">
        <v>5</v>
      </c>
      <c r="E13" s="19">
        <f>SUM(B13:D13)</f>
        <v>15</v>
      </c>
      <c r="K13" s="15"/>
      <c r="L13" s="15"/>
      <c r="M13" s="14"/>
      <c r="N13" s="14"/>
      <c r="O13" s="14"/>
      <c r="P13" s="14"/>
      <c r="R13" s="14"/>
      <c r="S13" s="14"/>
    </row>
    <row r="14" spans="1:19" ht="12.75">
      <c r="A14" s="14" t="str">
        <f>Assumptions!A26</f>
        <v>Model 5</v>
      </c>
      <c r="C14" s="7">
        <v>3</v>
      </c>
      <c r="D14" s="7">
        <v>1</v>
      </c>
      <c r="E14" s="19">
        <f>SUM(B14:D14)</f>
        <v>4</v>
      </c>
      <c r="K14" s="15"/>
      <c r="L14" s="15"/>
      <c r="N14" s="15" t="s">
        <v>29</v>
      </c>
      <c r="R14" s="14"/>
      <c r="S14" s="14"/>
    </row>
    <row r="15" spans="1:19" ht="12.75">
      <c r="A15" s="14" t="s">
        <v>57</v>
      </c>
      <c r="C15" s="20">
        <f>SUM(C10:C14)</f>
        <v>25</v>
      </c>
      <c r="D15" s="20">
        <f>SUM(D10:D14)</f>
        <v>16</v>
      </c>
      <c r="E15" s="20">
        <f>SUM(E10:E14)</f>
        <v>41</v>
      </c>
      <c r="K15" s="15"/>
      <c r="L15" s="15"/>
      <c r="O15" s="15" t="s">
        <v>16</v>
      </c>
      <c r="P15" s="15" t="s">
        <v>21</v>
      </c>
      <c r="R15" s="14"/>
      <c r="S15" s="14"/>
    </row>
    <row r="16" spans="14:16" ht="12.75">
      <c r="N16" s="15" t="str">
        <f>Assumptions!A22</f>
        <v>Model 1</v>
      </c>
      <c r="O16" s="25">
        <f>Assumptions!C22*'Feasibility Analysis'!C10</f>
        <v>0</v>
      </c>
      <c r="P16" s="25">
        <f>Assumptions!D22*'Feasibility Analysis'!D10</f>
        <v>0</v>
      </c>
    </row>
    <row r="17" spans="1:19" ht="15">
      <c r="A17" s="16" t="s">
        <v>66</v>
      </c>
      <c r="C17" s="21"/>
      <c r="D17" s="21" t="s">
        <v>7</v>
      </c>
      <c r="E17" s="21"/>
      <c r="F17" s="21"/>
      <c r="G17" s="21"/>
      <c r="H17" s="21"/>
      <c r="I17" s="21"/>
      <c r="N17" s="15" t="str">
        <f>Assumptions!A23</f>
        <v>Model 2</v>
      </c>
      <c r="O17" s="25">
        <f>Assumptions!C23*'Feasibility Analysis'!C11</f>
        <v>357800</v>
      </c>
      <c r="P17" s="25">
        <f>Assumptions!D23*'Feasibility Analysis'!D11</f>
        <v>1450000</v>
      </c>
      <c r="S17" s="25"/>
    </row>
    <row r="18" spans="4:19" ht="12.75">
      <c r="D18" s="21"/>
      <c r="E18" s="21"/>
      <c r="F18" s="21"/>
      <c r="G18" s="21"/>
      <c r="H18" s="21"/>
      <c r="I18" s="21"/>
      <c r="N18" s="15" t="str">
        <f>Assumptions!A24</f>
        <v>Model 3</v>
      </c>
      <c r="O18" s="25">
        <f>Assumptions!C24*'Feasibility Analysis'!C12</f>
        <v>1789000</v>
      </c>
      <c r="P18" s="25">
        <f>Assumptions!D24*'Feasibility Analysis'!D12</f>
        <v>1525000</v>
      </c>
      <c r="S18" s="25"/>
    </row>
    <row r="19" spans="1:19" ht="12.75">
      <c r="A19" s="14" t="s">
        <v>61</v>
      </c>
      <c r="D19" s="21">
        <f>Assumptions!B6</f>
        <v>800000</v>
      </c>
      <c r="E19" s="21"/>
      <c r="F19" s="21"/>
      <c r="G19" s="21"/>
      <c r="H19" s="21"/>
      <c r="I19" s="21"/>
      <c r="N19" s="15" t="str">
        <f>Assumptions!A25</f>
        <v>Model 4</v>
      </c>
      <c r="O19" s="25">
        <f>Assumptions!C25*'Feasibility Analysis'!C13</f>
        <v>2067000</v>
      </c>
      <c r="P19" s="25">
        <f>Assumptions!D25*'Feasibility Analysis'!D13</f>
        <v>1875000</v>
      </c>
      <c r="S19" s="25"/>
    </row>
    <row r="20" spans="1:19" ht="12.75">
      <c r="A20" s="14" t="s">
        <v>62</v>
      </c>
      <c r="D20" s="21"/>
      <c r="E20" s="21"/>
      <c r="F20" s="21"/>
      <c r="G20" s="21"/>
      <c r="H20" s="21"/>
      <c r="I20" s="21"/>
      <c r="N20" s="15" t="str">
        <f>Assumptions!A26</f>
        <v>Model 5</v>
      </c>
      <c r="O20" s="25">
        <f>Assumptions!C26*'Feasibility Analysis'!C14</f>
        <v>620100</v>
      </c>
      <c r="P20" s="25">
        <f>Assumptions!D26*'Feasibility Analysis'!D14</f>
        <v>375000</v>
      </c>
      <c r="S20" s="25"/>
    </row>
    <row r="21" spans="1:19" ht="13.5" thickBot="1">
      <c r="A21" s="14" t="s">
        <v>64</v>
      </c>
      <c r="D21" s="21">
        <f>(Assumptions!Q13*((Assumptions!B13*Assumptions!B14)+(Assumptions!B15*Assumptions!B16)))+(Assumptions!F13*units*Assumptions!Q14)</f>
        <v>8500000</v>
      </c>
      <c r="E21" s="21"/>
      <c r="F21" s="21"/>
      <c r="G21" s="21"/>
      <c r="H21" s="21"/>
      <c r="I21" s="21"/>
      <c r="N21" s="37" t="s">
        <v>31</v>
      </c>
      <c r="O21" s="38">
        <f>SUM(O16:O20)</f>
        <v>4833900</v>
      </c>
      <c r="P21" s="38">
        <f>SUM(P16:P20)</f>
        <v>5225000</v>
      </c>
      <c r="Q21" s="25">
        <f>(O21+P21)/units</f>
        <v>245339.0243902439</v>
      </c>
      <c r="R21" s="15" t="s">
        <v>35</v>
      </c>
      <c r="S21" s="25"/>
    </row>
    <row r="22" spans="1:19" ht="13.5" thickTop="1">
      <c r="A22" s="14" t="s">
        <v>76</v>
      </c>
      <c r="D22" s="21">
        <f>D21*0.15</f>
        <v>1275000</v>
      </c>
      <c r="E22" s="21"/>
      <c r="F22" s="21"/>
      <c r="G22" s="21"/>
      <c r="H22" s="21"/>
      <c r="I22" s="21"/>
      <c r="N22" s="15" t="s">
        <v>69</v>
      </c>
      <c r="S22" s="25"/>
    </row>
    <row r="23" spans="1:9" ht="12.75">
      <c r="A23" s="14" t="s">
        <v>63</v>
      </c>
      <c r="C23" s="26"/>
      <c r="D23" s="21"/>
      <c r="E23" s="21"/>
      <c r="F23" s="21"/>
      <c r="G23" s="21"/>
      <c r="H23" s="21"/>
      <c r="I23" s="21"/>
    </row>
    <row r="24" spans="1:9" ht="12.75">
      <c r="A24" s="14" t="s">
        <v>58</v>
      </c>
      <c r="C24" s="27">
        <v>0.2</v>
      </c>
      <c r="D24" s="21">
        <f>C24*(D21+D22)</f>
        <v>1955000</v>
      </c>
      <c r="E24" s="21"/>
      <c r="F24" s="21"/>
      <c r="G24" s="21"/>
      <c r="H24" s="21"/>
      <c r="I24" s="21"/>
    </row>
    <row r="25" spans="1:9" ht="12.75">
      <c r="A25" s="14" t="s">
        <v>32</v>
      </c>
      <c r="C25" s="27"/>
      <c r="D25" s="21">
        <f>((D33+D34)/2)*Assumptions!B32*(Assumptions!B30/12)</f>
        <v>176030.75000000003</v>
      </c>
      <c r="E25" s="21"/>
      <c r="F25" s="21"/>
      <c r="G25" s="21"/>
      <c r="H25" s="21"/>
      <c r="I25" s="21"/>
    </row>
    <row r="26" spans="1:14" ht="12.75">
      <c r="A26" s="14" t="s">
        <v>67</v>
      </c>
      <c r="C26" s="26"/>
      <c r="D26" s="21"/>
      <c r="E26" s="21"/>
      <c r="F26" s="21"/>
      <c r="G26" s="21"/>
      <c r="H26" s="21"/>
      <c r="I26" s="21"/>
      <c r="N26" s="15" t="s">
        <v>34</v>
      </c>
    </row>
    <row r="27" spans="1:9" ht="12.75">
      <c r="A27" s="14" t="s">
        <v>65</v>
      </c>
      <c r="C27" s="26"/>
      <c r="D27" s="21">
        <f>SUMPRODUCT(N28:N31,O28:O31)</f>
        <v>1405603.0750000002</v>
      </c>
      <c r="E27" s="21" t="s">
        <v>71</v>
      </c>
      <c r="F27" s="21"/>
      <c r="G27" s="21"/>
      <c r="H27" s="21"/>
      <c r="I27" s="21"/>
    </row>
    <row r="28" spans="4:17" ht="12.75">
      <c r="D28" s="21"/>
      <c r="E28" s="21"/>
      <c r="F28" s="21"/>
      <c r="G28" s="21"/>
      <c r="H28" s="21"/>
      <c r="I28" s="21"/>
      <c r="N28" s="15">
        <v>0.05</v>
      </c>
      <c r="O28" s="28">
        <f>D19</f>
        <v>800000</v>
      </c>
      <c r="P28" s="28">
        <f>SUM(D21:D26)</f>
        <v>11906030.75</v>
      </c>
      <c r="Q28" s="15" t="s">
        <v>33</v>
      </c>
    </row>
    <row r="29" spans="1:15" ht="13.5" thickBot="1">
      <c r="A29" s="13" t="s">
        <v>1</v>
      </c>
      <c r="B29" s="13"/>
      <c r="C29" s="13"/>
      <c r="D29" s="24">
        <f>SUM(D19:D27)</f>
        <v>14111633.825</v>
      </c>
      <c r="E29" s="29">
        <f>D29/units</f>
        <v>344186.19085365854</v>
      </c>
      <c r="F29" s="29" t="s">
        <v>60</v>
      </c>
      <c r="G29" s="21"/>
      <c r="H29" s="21"/>
      <c r="I29" s="21"/>
      <c r="N29" s="15">
        <v>0.15</v>
      </c>
      <c r="O29" s="28">
        <f>MIN(2000000,SUM(D21:D25))</f>
        <v>2000000</v>
      </c>
    </row>
    <row r="30" spans="1:15" ht="13.5" thickTop="1">
      <c r="A30" s="14" t="s">
        <v>7</v>
      </c>
      <c r="D30" s="21"/>
      <c r="E30" s="21"/>
      <c r="F30" s="21"/>
      <c r="G30" s="21"/>
      <c r="H30" s="21"/>
      <c r="I30" s="21"/>
      <c r="N30" s="15">
        <v>0.125</v>
      </c>
      <c r="O30" s="28">
        <f>MAX(0,MIN(3000000,P28-O29))</f>
        <v>3000000</v>
      </c>
    </row>
    <row r="31" spans="4:15" ht="12.75">
      <c r="D31" s="21"/>
      <c r="E31" s="21"/>
      <c r="F31" s="21"/>
      <c r="G31" s="21"/>
      <c r="H31" s="21"/>
      <c r="I31" s="21"/>
      <c r="N31" s="15">
        <v>0.1</v>
      </c>
      <c r="O31" s="28">
        <f>MAX(0,P28-5000000)</f>
        <v>6906030.75</v>
      </c>
    </row>
    <row r="32" spans="1:9" ht="15">
      <c r="A32" s="16" t="s">
        <v>0</v>
      </c>
      <c r="D32" s="21"/>
      <c r="E32" s="21"/>
      <c r="F32" s="21"/>
      <c r="G32" s="21"/>
      <c r="H32" s="21"/>
      <c r="I32" s="21"/>
    </row>
    <row r="33" spans="1:9" ht="12.75">
      <c r="A33" s="14" t="s">
        <v>18</v>
      </c>
      <c r="D33" s="21">
        <f>O21</f>
        <v>4833900</v>
      </c>
      <c r="E33" s="29">
        <f>D33/C15</f>
        <v>193356</v>
      </c>
      <c r="F33" s="29" t="s">
        <v>37</v>
      </c>
      <c r="G33" s="29"/>
      <c r="H33" s="21"/>
      <c r="I33" s="21"/>
    </row>
    <row r="34" spans="1:9" ht="12.75">
      <c r="A34" s="14" t="s">
        <v>19</v>
      </c>
      <c r="D34" s="21">
        <f>P21</f>
        <v>5225000</v>
      </c>
      <c r="E34" s="29">
        <f>D34/D15</f>
        <v>326562.5</v>
      </c>
      <c r="F34" s="29" t="s">
        <v>36</v>
      </c>
      <c r="G34" s="21"/>
      <c r="H34" s="21"/>
      <c r="I34" s="21"/>
    </row>
    <row r="35" spans="1:9" ht="12.75">
      <c r="A35" s="14" t="s">
        <v>39</v>
      </c>
      <c r="D35" s="7">
        <v>1000000</v>
      </c>
      <c r="E35" s="21"/>
      <c r="F35" s="21"/>
      <c r="G35" s="21"/>
      <c r="H35" s="21"/>
      <c r="I35" s="21"/>
    </row>
    <row r="36" spans="1:9" ht="12.75">
      <c r="A36" s="14" t="s">
        <v>40</v>
      </c>
      <c r="D36" s="7">
        <v>750000</v>
      </c>
      <c r="E36" s="21"/>
      <c r="F36" s="21"/>
      <c r="G36" s="21"/>
      <c r="H36" s="21"/>
      <c r="I36" s="21"/>
    </row>
    <row r="37" spans="1:14" ht="12.75">
      <c r="A37" s="14" t="s">
        <v>41</v>
      </c>
      <c r="D37" s="7">
        <v>1000000</v>
      </c>
      <c r="E37" s="21"/>
      <c r="F37" s="21"/>
      <c r="G37" s="21"/>
      <c r="H37" s="21"/>
      <c r="I37" s="21"/>
      <c r="M37" s="30" t="s">
        <v>30</v>
      </c>
      <c r="N37" s="15" t="s">
        <v>30</v>
      </c>
    </row>
    <row r="38" spans="1:14" ht="12.75">
      <c r="A38" s="14" t="s">
        <v>42</v>
      </c>
      <c r="B38" s="59" t="s">
        <v>45</v>
      </c>
      <c r="C38" s="60"/>
      <c r="D38" s="33">
        <v>300000</v>
      </c>
      <c r="N38" s="15" t="s">
        <v>30</v>
      </c>
    </row>
    <row r="39" spans="1:4" ht="12.75">
      <c r="A39" s="14" t="s">
        <v>43</v>
      </c>
      <c r="B39" s="59" t="s">
        <v>69</v>
      </c>
      <c r="C39" s="60"/>
      <c r="D39" s="33"/>
    </row>
    <row r="40" spans="1:4" ht="12.75">
      <c r="A40" s="14" t="s">
        <v>44</v>
      </c>
      <c r="B40" s="59" t="s">
        <v>46</v>
      </c>
      <c r="C40" s="60"/>
      <c r="D40" s="33"/>
    </row>
    <row r="41" spans="1:4" ht="12.75">
      <c r="A41" s="14" t="s">
        <v>43</v>
      </c>
      <c r="B41" s="59" t="s">
        <v>46</v>
      </c>
      <c r="C41" s="60"/>
      <c r="D41" s="33"/>
    </row>
    <row r="42" spans="1:4" ht="12.75">
      <c r="A42" s="14" t="s">
        <v>44</v>
      </c>
      <c r="B42" s="59"/>
      <c r="C42" s="60"/>
      <c r="D42" s="33"/>
    </row>
    <row r="43" spans="1:4" ht="12.75">
      <c r="A43" s="14" t="s">
        <v>43</v>
      </c>
      <c r="B43" s="59" t="s">
        <v>46</v>
      </c>
      <c r="C43" s="60"/>
      <c r="D43" s="33"/>
    </row>
    <row r="44" spans="1:14" ht="13.5" thickBot="1">
      <c r="A44" s="13" t="s">
        <v>2</v>
      </c>
      <c r="B44" s="13"/>
      <c r="C44" s="13"/>
      <c r="D44" s="31">
        <f>SUM(D33:D43)</f>
        <v>13108900</v>
      </c>
      <c r="N44" s="25"/>
    </row>
    <row r="45" spans="1:14" ht="13.5" thickTop="1">
      <c r="A45" s="14" t="s">
        <v>3</v>
      </c>
      <c r="D45" s="19">
        <f>D44-D29</f>
        <v>-1002733.8249999993</v>
      </c>
      <c r="E45" s="61" t="s">
        <v>38</v>
      </c>
      <c r="F45" s="61"/>
      <c r="G45" s="61"/>
      <c r="H45" s="34"/>
      <c r="N45" s="32"/>
    </row>
    <row r="46" spans="16:17" ht="12.75">
      <c r="P46" s="28"/>
      <c r="Q46" s="32"/>
    </row>
    <row r="47" spans="16:17" ht="12.75">
      <c r="P47" s="28"/>
      <c r="Q47" s="32"/>
    </row>
    <row r="48" spans="6:17" ht="12.75">
      <c r="F48" s="34"/>
      <c r="P48" s="28"/>
      <c r="Q48" s="32"/>
    </row>
    <row r="49" spans="16:17" ht="12.75">
      <c r="P49" s="28"/>
      <c r="Q49" s="32"/>
    </row>
    <row r="50" ht="12.75">
      <c r="Q50" s="32"/>
    </row>
    <row r="51" spans="16:17" ht="12.75">
      <c r="P51" s="25"/>
      <c r="Q51" s="32"/>
    </row>
    <row r="52" spans="16:17" ht="12.75">
      <c r="P52" s="28"/>
      <c r="Q52" s="32"/>
    </row>
    <row r="53" ht="12.75">
      <c r="Q53" s="32"/>
    </row>
    <row r="54" ht="12.75">
      <c r="P54" s="15" t="s">
        <v>7</v>
      </c>
    </row>
  </sheetData>
  <sheetProtection/>
  <mergeCells count="8">
    <mergeCell ref="B41:C41"/>
    <mergeCell ref="B42:C42"/>
    <mergeCell ref="E45:G45"/>
    <mergeCell ref="C4:F4"/>
    <mergeCell ref="B38:C38"/>
    <mergeCell ref="B39:C39"/>
    <mergeCell ref="B40:C40"/>
    <mergeCell ref="B43:C43"/>
  </mergeCells>
  <printOptions/>
  <pageMargins left="0.75" right="0.75" top="1" bottom="1" header="0.5" footer="0.5"/>
  <pageSetup blackAndWhite="1" fitToHeight="1" fitToWidth="1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VIVA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Gould</dc:creator>
  <cp:keywords/>
  <dc:description/>
  <cp:lastModifiedBy>Carsten Snow</cp:lastModifiedBy>
  <cp:lastPrinted>2009-05-19T20:12:06Z</cp:lastPrinted>
  <dcterms:created xsi:type="dcterms:W3CDTF">2009-05-15T17:14:15Z</dcterms:created>
  <dcterms:modified xsi:type="dcterms:W3CDTF">2017-08-25T18:33:53Z</dcterms:modified>
  <cp:category/>
  <cp:version/>
  <cp:contentType/>
  <cp:contentStatus/>
</cp:coreProperties>
</file>